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7260" activeTab="1"/>
  </bookViews>
  <sheets>
    <sheet name="User guide" sheetId="1" r:id="rId1"/>
    <sheet name="Calculator" sheetId="2" r:id="rId2"/>
  </sheets>
  <definedNames/>
  <calcPr fullCalcOnLoad="1"/>
</workbook>
</file>

<file path=xl/sharedStrings.xml><?xml version="1.0" encoding="utf-8"?>
<sst xmlns="http://schemas.openxmlformats.org/spreadsheetml/2006/main" count="46" uniqueCount="46">
  <si>
    <t>Parks &amp; Recreation Grounds</t>
  </si>
  <si>
    <t>Allotments</t>
  </si>
  <si>
    <t>1 bed</t>
  </si>
  <si>
    <t>2 bed</t>
  </si>
  <si>
    <t>Number of dwellings</t>
  </si>
  <si>
    <t xml:space="preserve">3 bed </t>
  </si>
  <si>
    <t>Elderley 1 bed</t>
  </si>
  <si>
    <t>Elderley 2 bed</t>
  </si>
  <si>
    <t>Enter number</t>
  </si>
  <si>
    <t>Equivalent people</t>
  </si>
  <si>
    <t>Open Space requirement</t>
  </si>
  <si>
    <t>Cost per msq</t>
  </si>
  <si>
    <t>Total requirement (msq)</t>
  </si>
  <si>
    <t>Cost of provision (£)</t>
  </si>
  <si>
    <t>TOTAL</t>
  </si>
  <si>
    <t>Calculation</t>
  </si>
  <si>
    <t>On site required?</t>
  </si>
  <si>
    <t>Value of provision</t>
  </si>
  <si>
    <t>Required quantity on site (msq)</t>
  </si>
  <si>
    <t>Contribution required</t>
  </si>
  <si>
    <t>Required msq per person</t>
  </si>
  <si>
    <t>Play Space (Children)</t>
  </si>
  <si>
    <t>Play Space (Youth)</t>
  </si>
  <si>
    <t>Enter actual provision on site (msq)</t>
  </si>
  <si>
    <t>Amenity Green Space</t>
  </si>
  <si>
    <t>Natural Green Space</t>
  </si>
  <si>
    <t>4 bed</t>
  </si>
  <si>
    <t>5 bed</t>
  </si>
  <si>
    <t>Step 1</t>
  </si>
  <si>
    <t>Step 2</t>
  </si>
  <si>
    <t>If the 'Enter actual provision on site (msq)' figure meets the minimum required open space quantity in the 'Required quantity on site (msq) column', then the 'contribution required' will be zero, as the full open space requirement is being provided.</t>
  </si>
  <si>
    <t>However if no open space is being provided, or less than the 'Required quantity on site (msq)' is being provided, then the 'Contribution required' column will show the cost of the developer contribution required for off-site open space provision/enhancement, by subtracting the 'Value of provision' from the 'Cost of provision (£)'.</t>
  </si>
  <si>
    <t>Enter the total number of dwellings  in the 'Enter number' column (cell B10)</t>
  </si>
  <si>
    <t xml:space="preserve">N.B. At the time of writing A&amp;W opted to use average household size rather than equivalent number of people per dwelling size. </t>
  </si>
  <si>
    <t>The 'Total equivalent people column' (cell C10) will autocalculate using the average household size (2.2).</t>
  </si>
  <si>
    <t>Now both the total number of dwellings (cell B10) and the total number of 'equivalent people' columns (cell C10) should be populated.</t>
  </si>
  <si>
    <t>This will enable the open space requirement to be autocalculated (by typology and total open space) in square metres in the 'Total requirement (msq)' column and the Cost of provision (£), using the open space quantity standards ('Required msq per person') and costs ('Cost per msq') - see Section 8 of open space study report.</t>
  </si>
  <si>
    <t>It will also indicate whether on site provision of open space is required ('On site required?'), where Y=yes and 0=no, based on the thresholds table (Table 8.5) in Section 8 of the open space study report (this does not consider existing open space provision which needs to be factored in e.g. if there is provision of open space near to the development in an area where there is good provision of open space, then it may be more appropriate to enhance existing provision, rather than require new provision on-site).</t>
  </si>
  <si>
    <t xml:space="preserve">For each open space typology, enter the area of open space that is planned on site in square metres, in the 'Enter actual provision on site (msq)' column (column M). </t>
  </si>
  <si>
    <t>COST CALCULATOR FOR DEVELOPER CONTRIBUTIONS</t>
  </si>
  <si>
    <t>Commuted sum required</t>
  </si>
  <si>
    <t xml:space="preserve">A commuted sum will be required where open space is required on site. </t>
  </si>
  <si>
    <t>The annual commuted sum is calculated using the figure provided in the 'Enter actual provision provided on site msq' column, multiplied by the m2 maintenance costs for each typology, provided by Ethos as a separate spreadsheet and summarised in Section 8 of the open space study report.</t>
  </si>
  <si>
    <t>Annual commuted sum (£)</t>
  </si>
  <si>
    <t>Total communted sum over 15 year period (£)</t>
  </si>
  <si>
    <t>Difference between required quanity on site and actual provision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</si>
</sst>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s>
  <fonts count="4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i/>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0" xfId="0" applyFont="1" applyAlignment="1">
      <alignment/>
    </xf>
    <xf numFmtId="0" fontId="0"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6" fillId="0" borderId="0" xfId="0" applyFont="1" applyAlignment="1">
      <alignment wrapText="1"/>
    </xf>
    <xf numFmtId="0" fontId="6" fillId="0" borderId="0" xfId="0" applyFont="1" applyAlignment="1">
      <alignment/>
    </xf>
    <xf numFmtId="164" fontId="2" fillId="0" borderId="0" xfId="0" applyNumberFormat="1" applyFont="1" applyAlignment="1">
      <alignment wrapText="1"/>
    </xf>
    <xf numFmtId="164" fontId="0" fillId="0" borderId="0" xfId="0" applyNumberFormat="1" applyAlignment="1">
      <alignment wrapText="1"/>
    </xf>
    <xf numFmtId="3" fontId="2" fillId="0" borderId="0" xfId="0" applyNumberFormat="1" applyFont="1" applyAlignment="1">
      <alignment horizontal="left" wrapText="1"/>
    </xf>
    <xf numFmtId="3" fontId="0" fillId="0" borderId="0" xfId="0" applyNumberFormat="1" applyAlignment="1">
      <alignment horizontal="left" wrapText="1"/>
    </xf>
    <xf numFmtId="164" fontId="2" fillId="0" borderId="0" xfId="0" applyNumberFormat="1" applyFont="1" applyAlignment="1">
      <alignment horizontal="left" wrapText="1"/>
    </xf>
    <xf numFmtId="164" fontId="0" fillId="0" borderId="0" xfId="0" applyNumberFormat="1" applyAlignment="1">
      <alignment horizontal="left" wrapText="1"/>
    </xf>
    <xf numFmtId="164" fontId="2" fillId="0" borderId="0" xfId="0" applyNumberFormat="1" applyFont="1" applyAlignment="1">
      <alignment/>
    </xf>
    <xf numFmtId="4" fontId="2" fillId="0" borderId="0" xfId="0" applyNumberFormat="1" applyFont="1" applyAlignment="1">
      <alignment wrapText="1"/>
    </xf>
    <xf numFmtId="4" fontId="0" fillId="0" borderId="0" xfId="0" applyNumberFormat="1" applyAlignment="1">
      <alignment wrapText="1"/>
    </xf>
    <xf numFmtId="10" fontId="0" fillId="0" borderId="0" xfId="0" applyNumberFormat="1" applyAlignment="1">
      <alignment horizontal="left" wrapText="1"/>
    </xf>
    <xf numFmtId="0" fontId="0" fillId="0" borderId="0" xfId="0" applyAlignment="1" applyProtection="1">
      <alignment horizontal="left" wrapText="1"/>
      <protection locked="0"/>
    </xf>
    <xf numFmtId="0" fontId="2" fillId="0" borderId="0" xfId="0" applyFont="1" applyAlignment="1" applyProtection="1">
      <alignment/>
      <protection locked="0"/>
    </xf>
    <xf numFmtId="0" fontId="2" fillId="0" borderId="10" xfId="0" applyFont="1" applyBorder="1" applyAlignment="1">
      <alignment horizontal="left" wrapText="1"/>
    </xf>
    <xf numFmtId="0" fontId="2" fillId="33" borderId="10" xfId="0" applyFont="1" applyFill="1" applyBorder="1" applyAlignment="1" applyProtection="1">
      <alignment horizontal="left" wrapText="1"/>
      <protection locked="0"/>
    </xf>
    <xf numFmtId="164" fontId="2" fillId="0" borderId="10" xfId="0" applyNumberFormat="1" applyFont="1" applyBorder="1" applyAlignment="1">
      <alignment horizontal="left" wrapText="1"/>
    </xf>
    <xf numFmtId="3" fontId="2" fillId="0" borderId="10" xfId="0" applyNumberFormat="1" applyFont="1" applyBorder="1" applyAlignment="1">
      <alignment horizontal="left" wrapText="1"/>
    </xf>
    <xf numFmtId="0" fontId="2" fillId="33" borderId="10" xfId="0" applyFont="1" applyFill="1" applyBorder="1" applyAlignment="1">
      <alignment horizontal="left" wrapText="1"/>
    </xf>
    <xf numFmtId="164" fontId="2" fillId="0" borderId="10" xfId="0" applyNumberFormat="1" applyFont="1" applyBorder="1" applyAlignment="1">
      <alignment wrapText="1"/>
    </xf>
    <xf numFmtId="0" fontId="5" fillId="0" borderId="10" xfId="0" applyFont="1" applyBorder="1" applyAlignment="1">
      <alignment horizontal="left" wrapText="1"/>
    </xf>
    <xf numFmtId="0" fontId="0" fillId="33" borderId="10" xfId="0" applyFill="1" applyBorder="1" applyAlignment="1" applyProtection="1">
      <alignment horizontal="left" wrapText="1"/>
      <protection locked="0"/>
    </xf>
    <xf numFmtId="0" fontId="0" fillId="0" borderId="10" xfId="0" applyBorder="1" applyAlignment="1">
      <alignment horizontal="left" wrapText="1"/>
    </xf>
    <xf numFmtId="0" fontId="0" fillId="0" borderId="10" xfId="0" applyFont="1" applyBorder="1" applyAlignment="1">
      <alignment horizontal="left" wrapText="1"/>
    </xf>
    <xf numFmtId="4" fontId="0" fillId="0" borderId="10" xfId="0" applyNumberFormat="1" applyFont="1" applyBorder="1" applyAlignment="1">
      <alignment horizontal="left" wrapText="1"/>
    </xf>
    <xf numFmtId="3" fontId="0" fillId="0" borderId="10" xfId="0" applyNumberFormat="1" applyBorder="1" applyAlignment="1">
      <alignment horizontal="left" wrapText="1"/>
    </xf>
    <xf numFmtId="164" fontId="0" fillId="0" borderId="10" xfId="0" applyNumberFormat="1" applyBorder="1" applyAlignment="1">
      <alignment horizontal="left" wrapText="1"/>
    </xf>
    <xf numFmtId="0" fontId="0" fillId="33" borderId="10" xfId="0" applyFill="1" applyBorder="1" applyAlignment="1">
      <alignment horizontal="left" wrapText="1"/>
    </xf>
    <xf numFmtId="164" fontId="0" fillId="0" borderId="10" xfId="0" applyNumberFormat="1" applyBorder="1" applyAlignment="1">
      <alignment wrapText="1"/>
    </xf>
    <xf numFmtId="0" fontId="6" fillId="0" borderId="10" xfId="0" applyFont="1" applyBorder="1" applyAlignment="1">
      <alignment horizontal="left" wrapText="1"/>
    </xf>
    <xf numFmtId="0" fontId="6" fillId="33" borderId="10" xfId="0" applyFont="1" applyFill="1" applyBorder="1" applyAlignment="1" applyProtection="1">
      <alignment horizontal="left" wrapText="1"/>
      <protection locked="0"/>
    </xf>
    <xf numFmtId="2" fontId="6" fillId="0" borderId="10" xfId="0" applyNumberFormat="1" applyFont="1" applyBorder="1" applyAlignment="1">
      <alignment horizontal="left" wrapText="1"/>
    </xf>
    <xf numFmtId="164" fontId="6" fillId="0" borderId="10" xfId="0" applyNumberFormat="1" applyFont="1" applyBorder="1" applyAlignment="1">
      <alignment horizontal="left" wrapText="1"/>
    </xf>
    <xf numFmtId="3" fontId="6" fillId="0" borderId="10" xfId="0" applyNumberFormat="1" applyFont="1" applyBorder="1" applyAlignment="1">
      <alignment horizontal="left" wrapText="1"/>
    </xf>
    <xf numFmtId="0" fontId="6" fillId="33" borderId="10" xfId="0" applyFont="1" applyFill="1" applyBorder="1" applyAlignment="1">
      <alignment horizontal="left" wrapText="1"/>
    </xf>
    <xf numFmtId="164" fontId="6" fillId="0" borderId="10" xfId="0" applyNumberFormat="1" applyFont="1" applyBorder="1" applyAlignment="1">
      <alignment wrapText="1"/>
    </xf>
    <xf numFmtId="4" fontId="0" fillId="0" borderId="10" xfId="0" applyNumberFormat="1" applyBorder="1" applyAlignment="1">
      <alignment horizontal="left" wrapText="1"/>
    </xf>
    <xf numFmtId="0" fontId="0" fillId="0" borderId="0" xfId="0" applyFont="1" applyFill="1" applyAlignment="1">
      <alignment horizontal="left" vertical="top" wrapText="1"/>
    </xf>
    <xf numFmtId="0" fontId="0" fillId="0" borderId="0" xfId="0" applyFont="1" applyAlignment="1">
      <alignment wrapText="1"/>
    </xf>
    <xf numFmtId="0" fontId="2" fillId="0" borderId="10" xfId="0" applyFont="1" applyBorder="1" applyAlignment="1">
      <alignment wrapText="1"/>
    </xf>
    <xf numFmtId="0" fontId="0" fillId="0" borderId="10" xfId="0" applyBorder="1" applyAlignment="1">
      <alignment wrapText="1"/>
    </xf>
    <xf numFmtId="0" fontId="6" fillId="0" borderId="10" xfId="0" applyFont="1" applyBorder="1" applyAlignment="1">
      <alignment wrapText="1"/>
    </xf>
    <xf numFmtId="4" fontId="2" fillId="0" borderId="10" xfId="0" applyNumberFormat="1" applyFont="1" applyBorder="1" applyAlignment="1">
      <alignment wrapText="1"/>
    </xf>
    <xf numFmtId="4" fontId="0" fillId="0" borderId="10" xfId="0" applyNumberFormat="1" applyBorder="1" applyAlignment="1">
      <alignment wrapText="1"/>
    </xf>
    <xf numFmtId="0" fontId="2" fillId="0" borderId="10" xfId="0" applyFont="1" applyFill="1" applyBorder="1" applyAlignment="1">
      <alignment horizontal="left" wrapText="1"/>
    </xf>
    <xf numFmtId="0" fontId="0" fillId="0" borderId="10" xfId="0" applyFill="1" applyBorder="1" applyAlignment="1">
      <alignment horizontal="left" wrapText="1"/>
    </xf>
    <xf numFmtId="0" fontId="6" fillId="0" borderId="10" xfId="0" applyFont="1" applyFill="1" applyBorder="1" applyAlignment="1">
      <alignment horizontal="left" wrapText="1"/>
    </xf>
    <xf numFmtId="3" fontId="0" fillId="0" borderId="10" xfId="0" applyNumberForma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
      <selection activeCell="B11" sqref="B11"/>
    </sheetView>
  </sheetViews>
  <sheetFormatPr defaultColWidth="9.140625" defaultRowHeight="12.75"/>
  <cols>
    <col min="2" max="2" width="147.140625" style="0" customWidth="1"/>
  </cols>
  <sheetData>
    <row r="1" ht="12.75">
      <c r="B1" s="3" t="s">
        <v>39</v>
      </c>
    </row>
    <row r="2" ht="12.75">
      <c r="B2" s="4"/>
    </row>
    <row r="3" spans="1:2" ht="12.75">
      <c r="A3" s="2" t="s">
        <v>28</v>
      </c>
      <c r="B3" s="2" t="s">
        <v>32</v>
      </c>
    </row>
    <row r="4" spans="1:2" ht="12.75">
      <c r="A4" s="1"/>
      <c r="B4" s="46" t="s">
        <v>33</v>
      </c>
    </row>
    <row r="5" spans="1:2" ht="12.75">
      <c r="A5" s="1"/>
      <c r="B5" s="46" t="s">
        <v>34</v>
      </c>
    </row>
    <row r="6" spans="1:2" ht="12.75">
      <c r="A6" s="1"/>
      <c r="B6" s="46" t="s">
        <v>35</v>
      </c>
    </row>
    <row r="7" spans="1:2" ht="25.5">
      <c r="A7" s="1"/>
      <c r="B7" s="46" t="s">
        <v>36</v>
      </c>
    </row>
    <row r="8" spans="1:2" ht="51">
      <c r="A8" s="1"/>
      <c r="B8" s="46" t="s">
        <v>37</v>
      </c>
    </row>
    <row r="9" spans="1:2" ht="25.5">
      <c r="A9" s="2" t="s">
        <v>29</v>
      </c>
      <c r="B9" s="2" t="s">
        <v>38</v>
      </c>
    </row>
    <row r="10" spans="1:2" ht="25.5">
      <c r="A10" s="1"/>
      <c r="B10" s="1" t="s">
        <v>30</v>
      </c>
    </row>
    <row r="11" spans="1:2" ht="25.5">
      <c r="A11" s="1"/>
      <c r="B11" s="1" t="s">
        <v>31</v>
      </c>
    </row>
    <row r="12" spans="1:2" ht="12.75">
      <c r="A12" s="1"/>
      <c r="B12" s="1" t="s">
        <v>41</v>
      </c>
    </row>
    <row r="13" ht="25.5">
      <c r="B13" s="1" t="s">
        <v>42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27"/>
  <sheetViews>
    <sheetView tabSelected="1" zoomScale="90" zoomScaleNormal="90" zoomScalePageLayoutView="0" workbookViewId="0" topLeftCell="A1">
      <selection activeCell="R2" sqref="R2"/>
    </sheetView>
  </sheetViews>
  <sheetFormatPr defaultColWidth="9.140625" defaultRowHeight="12.75"/>
  <cols>
    <col min="1" max="1" width="10.7109375" style="7" bestFit="1" customWidth="1"/>
    <col min="2" max="2" width="8.140625" style="20" bestFit="1" customWidth="1"/>
    <col min="3" max="3" width="10.57421875" style="7" bestFit="1" customWidth="1"/>
    <col min="4" max="4" width="4.28125" style="7" hidden="1" customWidth="1"/>
    <col min="5" max="5" width="15.00390625" style="7" bestFit="1" customWidth="1"/>
    <col min="6" max="6" width="9.28125" style="7" bestFit="1" customWidth="1"/>
    <col min="7" max="7" width="8.57421875" style="15" customWidth="1"/>
    <col min="8" max="8" width="12.140625" style="13" bestFit="1" customWidth="1"/>
    <col min="9" max="9" width="12.140625" style="15" bestFit="1" customWidth="1"/>
    <col min="10" max="10" width="14.28125" style="7" customWidth="1"/>
    <col min="11" max="11" width="11.28125" style="7" hidden="1" customWidth="1"/>
    <col min="12" max="12" width="11.140625" style="13" bestFit="1" customWidth="1"/>
    <col min="13" max="13" width="12.140625" style="7" bestFit="1" customWidth="1"/>
    <col min="14" max="14" width="12.140625" style="7" customWidth="1"/>
    <col min="15" max="15" width="9.28125" style="13" bestFit="1" customWidth="1"/>
    <col min="16" max="16" width="12.140625" style="11" bestFit="1" customWidth="1"/>
    <col min="17" max="17" width="10.57421875" style="1" customWidth="1"/>
    <col min="18" max="18" width="10.7109375" style="1" customWidth="1"/>
    <col min="19" max="19" width="15.00390625" style="18" customWidth="1"/>
    <col min="20" max="20" width="9.140625" style="18" customWidth="1"/>
    <col min="21" max="24" width="9.140625" style="1" customWidth="1"/>
  </cols>
  <sheetData>
    <row r="1" spans="1:24" s="3" customFormat="1" ht="89.25">
      <c r="A1" s="22" t="s">
        <v>4</v>
      </c>
      <c r="B1" s="23" t="s">
        <v>8</v>
      </c>
      <c r="C1" s="22" t="s">
        <v>9</v>
      </c>
      <c r="D1" s="22"/>
      <c r="E1" s="22" t="s">
        <v>10</v>
      </c>
      <c r="F1" s="22" t="s">
        <v>20</v>
      </c>
      <c r="G1" s="24" t="s">
        <v>11</v>
      </c>
      <c r="H1" s="25" t="s">
        <v>12</v>
      </c>
      <c r="I1" s="24" t="s">
        <v>13</v>
      </c>
      <c r="J1" s="22" t="s">
        <v>16</v>
      </c>
      <c r="K1" s="22" t="s">
        <v>15</v>
      </c>
      <c r="L1" s="25" t="s">
        <v>18</v>
      </c>
      <c r="M1" s="26" t="s">
        <v>23</v>
      </c>
      <c r="N1" s="52" t="s">
        <v>45</v>
      </c>
      <c r="O1" s="25" t="s">
        <v>17</v>
      </c>
      <c r="P1" s="27" t="s">
        <v>19</v>
      </c>
      <c r="Q1" s="47" t="s">
        <v>40</v>
      </c>
      <c r="R1" s="47" t="s">
        <v>43</v>
      </c>
      <c r="S1" s="50" t="s">
        <v>44</v>
      </c>
      <c r="T1" s="17"/>
      <c r="U1" s="2"/>
      <c r="V1" s="2"/>
      <c r="W1" s="2"/>
      <c r="X1" s="2"/>
    </row>
    <row r="2" spans="1:19" ht="12.75">
      <c r="A2" s="28" t="s">
        <v>2</v>
      </c>
      <c r="B2" s="29"/>
      <c r="C2" s="30">
        <f>B2*1.3</f>
        <v>0</v>
      </c>
      <c r="D2" s="30"/>
      <c r="E2" s="28" t="s">
        <v>1</v>
      </c>
      <c r="F2" s="31">
        <v>2</v>
      </c>
      <c r="G2" s="32">
        <v>22.34</v>
      </c>
      <c r="H2" s="44">
        <f>C10*F2</f>
        <v>880.0000000000001</v>
      </c>
      <c r="I2" s="34">
        <f aca="true" t="shared" si="0" ref="I2:I7">H2*G2</f>
        <v>19659.2</v>
      </c>
      <c r="J2" s="30" t="str">
        <f>IF(B10&lt;100,K2,"Y")</f>
        <v>Y</v>
      </c>
      <c r="K2" s="30"/>
      <c r="L2" s="33">
        <f aca="true" t="shared" si="1" ref="L2:L7">IF(J2="Y",H2,"None")</f>
        <v>880.0000000000001</v>
      </c>
      <c r="M2" s="35">
        <v>0</v>
      </c>
      <c r="N2" s="55">
        <f aca="true" t="shared" si="2" ref="N2:N7">L2-M2</f>
        <v>880.0000000000001</v>
      </c>
      <c r="O2" s="33">
        <f aca="true" t="shared" si="3" ref="O2:O7">M2*G2</f>
        <v>0</v>
      </c>
      <c r="P2" s="36">
        <f aca="true" t="shared" si="4" ref="P2:P7">I2-O2</f>
        <v>19659.2</v>
      </c>
      <c r="Q2" s="48" t="str">
        <f aca="true" t="shared" si="5" ref="Q2:Q7">J2</f>
        <v>Y</v>
      </c>
      <c r="R2" s="48">
        <f aca="true" t="shared" si="6" ref="R2:R7">N2*0.76</f>
        <v>668.8000000000001</v>
      </c>
      <c r="S2" s="51">
        <f aca="true" t="shared" si="7" ref="S2:S7">R2*15</f>
        <v>10032.000000000002</v>
      </c>
    </row>
    <row r="3" spans="1:19" ht="25.5">
      <c r="A3" s="28" t="s">
        <v>3</v>
      </c>
      <c r="B3" s="29"/>
      <c r="C3" s="30">
        <f>B3*1.9</f>
        <v>0</v>
      </c>
      <c r="D3" s="30"/>
      <c r="E3" s="28" t="s">
        <v>24</v>
      </c>
      <c r="F3" s="31">
        <v>6</v>
      </c>
      <c r="G3" s="32">
        <v>20.24</v>
      </c>
      <c r="H3" s="44">
        <f>C10*F3</f>
        <v>2640.0000000000005</v>
      </c>
      <c r="I3" s="34">
        <f t="shared" si="0"/>
        <v>53433.600000000006</v>
      </c>
      <c r="J3" s="30" t="str">
        <f>IF(B10&lt;20,K3,"Y")</f>
        <v>Y</v>
      </c>
      <c r="K3" s="30"/>
      <c r="L3" s="33">
        <f t="shared" si="1"/>
        <v>2640.0000000000005</v>
      </c>
      <c r="M3" s="35">
        <v>0</v>
      </c>
      <c r="N3" s="55">
        <f t="shared" si="2"/>
        <v>2640.0000000000005</v>
      </c>
      <c r="O3" s="33">
        <f t="shared" si="3"/>
        <v>0</v>
      </c>
      <c r="P3" s="36">
        <f t="shared" si="4"/>
        <v>53433.600000000006</v>
      </c>
      <c r="Q3" s="30" t="str">
        <f t="shared" si="5"/>
        <v>Y</v>
      </c>
      <c r="R3" s="48">
        <f>N3*0.77</f>
        <v>2032.8000000000004</v>
      </c>
      <c r="S3" s="51">
        <f t="shared" si="7"/>
        <v>30492.000000000007</v>
      </c>
    </row>
    <row r="4" spans="1:19" ht="40.5" customHeight="1">
      <c r="A4" s="28" t="s">
        <v>5</v>
      </c>
      <c r="B4" s="29"/>
      <c r="C4" s="30">
        <f>B4*2.5</f>
        <v>0</v>
      </c>
      <c r="D4" s="30"/>
      <c r="E4" s="28" t="s">
        <v>0</v>
      </c>
      <c r="F4" s="31">
        <v>8</v>
      </c>
      <c r="G4" s="32">
        <v>92.94</v>
      </c>
      <c r="H4" s="44">
        <f>C10*F4</f>
        <v>3520.0000000000005</v>
      </c>
      <c r="I4" s="34">
        <f t="shared" si="0"/>
        <v>327148.80000000005</v>
      </c>
      <c r="J4" s="30" t="str">
        <f>IF(B10&lt;200,K4,"Y")</f>
        <v>Y</v>
      </c>
      <c r="K4" s="30"/>
      <c r="L4" s="33">
        <f t="shared" si="1"/>
        <v>3520.0000000000005</v>
      </c>
      <c r="M4" s="35">
        <v>0</v>
      </c>
      <c r="N4" s="55">
        <f t="shared" si="2"/>
        <v>3520.0000000000005</v>
      </c>
      <c r="O4" s="33">
        <f t="shared" si="3"/>
        <v>0</v>
      </c>
      <c r="P4" s="36">
        <f t="shared" si="4"/>
        <v>327148.80000000005</v>
      </c>
      <c r="Q4" s="48" t="str">
        <f t="shared" si="5"/>
        <v>Y</v>
      </c>
      <c r="R4" s="48">
        <f>N4*3.47</f>
        <v>12214.400000000001</v>
      </c>
      <c r="S4" s="51">
        <f t="shared" si="7"/>
        <v>183216.00000000003</v>
      </c>
    </row>
    <row r="5" spans="1:19" ht="25.5">
      <c r="A5" s="28" t="s">
        <v>26</v>
      </c>
      <c r="B5" s="29"/>
      <c r="C5" s="30">
        <f>B5*2.9</f>
        <v>0</v>
      </c>
      <c r="D5" s="30"/>
      <c r="E5" s="28" t="s">
        <v>21</v>
      </c>
      <c r="F5" s="31">
        <v>0.6</v>
      </c>
      <c r="G5" s="32">
        <v>168.76</v>
      </c>
      <c r="H5" s="44">
        <f>C10*F5</f>
        <v>264</v>
      </c>
      <c r="I5" s="34">
        <f t="shared" si="0"/>
        <v>44552.64</v>
      </c>
      <c r="J5" s="30" t="str">
        <f>IF(B10&lt;100,K5,"Y")</f>
        <v>Y</v>
      </c>
      <c r="K5" s="30"/>
      <c r="L5" s="33">
        <f t="shared" si="1"/>
        <v>264</v>
      </c>
      <c r="M5" s="35">
        <v>0</v>
      </c>
      <c r="N5" s="55">
        <f t="shared" si="2"/>
        <v>264</v>
      </c>
      <c r="O5" s="33">
        <f t="shared" si="3"/>
        <v>0</v>
      </c>
      <c r="P5" s="36">
        <f t="shared" si="4"/>
        <v>44552.64</v>
      </c>
      <c r="Q5" s="48" t="str">
        <f t="shared" si="5"/>
        <v>Y</v>
      </c>
      <c r="R5" s="48">
        <f>N5*13.34</f>
        <v>3521.7599999999998</v>
      </c>
      <c r="S5" s="51">
        <f t="shared" si="7"/>
        <v>52826.399999999994</v>
      </c>
    </row>
    <row r="6" spans="1:19" ht="25.5">
      <c r="A6" s="28" t="s">
        <v>27</v>
      </c>
      <c r="B6" s="29"/>
      <c r="C6" s="30">
        <f>B6*3.3</f>
        <v>0</v>
      </c>
      <c r="D6" s="30"/>
      <c r="E6" s="28" t="s">
        <v>22</v>
      </c>
      <c r="F6" s="31">
        <v>0.6</v>
      </c>
      <c r="G6" s="32">
        <v>114.34</v>
      </c>
      <c r="H6" s="44">
        <f>C10*F6</f>
        <v>264</v>
      </c>
      <c r="I6" s="34">
        <f t="shared" si="0"/>
        <v>30185.760000000002</v>
      </c>
      <c r="J6" s="30" t="str">
        <f>IF(B10&lt;200,K6,"Y")</f>
        <v>Y</v>
      </c>
      <c r="K6" s="30"/>
      <c r="L6" s="33">
        <f t="shared" si="1"/>
        <v>264</v>
      </c>
      <c r="M6" s="35">
        <v>0</v>
      </c>
      <c r="N6" s="55">
        <f t="shared" si="2"/>
        <v>264</v>
      </c>
      <c r="O6" s="33">
        <f t="shared" si="3"/>
        <v>0</v>
      </c>
      <c r="P6" s="36">
        <f t="shared" si="4"/>
        <v>30185.760000000002</v>
      </c>
      <c r="Q6" s="48" t="str">
        <f t="shared" si="5"/>
        <v>Y</v>
      </c>
      <c r="R6" s="48">
        <f>N6*9.21</f>
        <v>2431.44</v>
      </c>
      <c r="S6" s="51">
        <f t="shared" si="7"/>
        <v>36471.6</v>
      </c>
    </row>
    <row r="7" spans="1:19" ht="25.5">
      <c r="A7" s="28" t="s">
        <v>6</v>
      </c>
      <c r="B7" s="29"/>
      <c r="C7" s="30">
        <f>B7*1</f>
        <v>0</v>
      </c>
      <c r="D7" s="30"/>
      <c r="E7" s="28" t="s">
        <v>25</v>
      </c>
      <c r="F7" s="31">
        <v>10</v>
      </c>
      <c r="G7" s="32">
        <v>20.24</v>
      </c>
      <c r="H7" s="44">
        <f>C10*F7</f>
        <v>4400.000000000001</v>
      </c>
      <c r="I7" s="34">
        <f t="shared" si="0"/>
        <v>89056.00000000001</v>
      </c>
      <c r="J7" s="30" t="str">
        <f>IF(B10&lt;100,K7,"Y")</f>
        <v>Y</v>
      </c>
      <c r="K7" s="30"/>
      <c r="L7" s="33">
        <f t="shared" si="1"/>
        <v>4400.000000000001</v>
      </c>
      <c r="M7" s="35">
        <v>0</v>
      </c>
      <c r="N7" s="55">
        <f t="shared" si="2"/>
        <v>4400.000000000001</v>
      </c>
      <c r="O7" s="33">
        <f t="shared" si="3"/>
        <v>0</v>
      </c>
      <c r="P7" s="36">
        <f t="shared" si="4"/>
        <v>89056.00000000001</v>
      </c>
      <c r="Q7" s="48" t="str">
        <f t="shared" si="5"/>
        <v>Y</v>
      </c>
      <c r="R7" s="48">
        <f>N7*0.77</f>
        <v>3388.000000000001</v>
      </c>
      <c r="S7" s="51">
        <f t="shared" si="7"/>
        <v>50820.000000000015</v>
      </c>
    </row>
    <row r="8" spans="1:19" ht="25.5">
      <c r="A8" s="28" t="s">
        <v>7</v>
      </c>
      <c r="B8" s="29"/>
      <c r="C8" s="30">
        <f>B8*2</f>
        <v>0</v>
      </c>
      <c r="D8" s="30"/>
      <c r="E8" s="30"/>
      <c r="F8" s="30"/>
      <c r="G8" s="34"/>
      <c r="H8" s="33"/>
      <c r="I8" s="34"/>
      <c r="J8" s="30"/>
      <c r="K8" s="30"/>
      <c r="L8" s="33"/>
      <c r="M8" s="30"/>
      <c r="N8" s="53"/>
      <c r="O8" s="33"/>
      <c r="P8" s="36"/>
      <c r="Q8" s="48"/>
      <c r="R8" s="48"/>
      <c r="S8" s="51"/>
    </row>
    <row r="9" spans="1:19" ht="12.75">
      <c r="A9" s="30"/>
      <c r="B9" s="29"/>
      <c r="C9" s="30"/>
      <c r="D9" s="30"/>
      <c r="E9" s="30"/>
      <c r="F9" s="30"/>
      <c r="G9" s="34"/>
      <c r="H9" s="33"/>
      <c r="I9" s="34"/>
      <c r="J9" s="30"/>
      <c r="K9" s="30"/>
      <c r="L9" s="33"/>
      <c r="M9" s="35"/>
      <c r="N9" s="53"/>
      <c r="O9" s="33"/>
      <c r="P9" s="36"/>
      <c r="Q9" s="48"/>
      <c r="R9" s="48"/>
      <c r="S9" s="51"/>
    </row>
    <row r="10" spans="1:24" s="9" customFormat="1" ht="12.75">
      <c r="A10" s="37" t="s">
        <v>14</v>
      </c>
      <c r="B10" s="38">
        <v>200</v>
      </c>
      <c r="C10" s="37">
        <f>B10*2.2</f>
        <v>440.00000000000006</v>
      </c>
      <c r="D10" s="37"/>
      <c r="E10" s="37"/>
      <c r="F10" s="39">
        <f>SUM(F2:F9)</f>
        <v>27.200000000000003</v>
      </c>
      <c r="G10" s="40"/>
      <c r="H10" s="41">
        <f>SUM(H2:H9)</f>
        <v>11968.000000000002</v>
      </c>
      <c r="I10" s="40">
        <f>SUM(I2:I9)</f>
        <v>564036.0000000001</v>
      </c>
      <c r="J10" s="37"/>
      <c r="K10" s="37"/>
      <c r="L10" s="41">
        <f>SUM(L2:L7)</f>
        <v>11968.000000000002</v>
      </c>
      <c r="M10" s="42"/>
      <c r="N10" s="54"/>
      <c r="O10" s="41">
        <f>SUM(O2:O7)</f>
        <v>0</v>
      </c>
      <c r="P10" s="43">
        <f>I10-O10</f>
        <v>564036.0000000001</v>
      </c>
      <c r="Q10" s="49"/>
      <c r="R10" s="49">
        <f>SUM(R2:R7)</f>
        <v>24257.2</v>
      </c>
      <c r="S10" s="51"/>
      <c r="T10" s="18"/>
      <c r="U10" s="8"/>
      <c r="V10" s="8"/>
      <c r="W10" s="8"/>
      <c r="X10" s="8"/>
    </row>
    <row r="13" ht="12.75">
      <c r="A13" s="6"/>
    </row>
    <row r="14" spans="1:24" s="3" customFormat="1" ht="12.75">
      <c r="A14" s="4"/>
      <c r="B14" s="21"/>
      <c r="H14" s="12"/>
      <c r="I14" s="14"/>
      <c r="J14" s="6"/>
      <c r="K14" s="6"/>
      <c r="L14" s="12"/>
      <c r="M14" s="6"/>
      <c r="N14" s="6"/>
      <c r="O14" s="12"/>
      <c r="P14" s="10"/>
      <c r="Q14" s="2"/>
      <c r="R14" s="2"/>
      <c r="S14" s="17"/>
      <c r="T14" s="17"/>
      <c r="U14" s="2"/>
      <c r="V14" s="2"/>
      <c r="W14" s="2"/>
      <c r="X14" s="2"/>
    </row>
    <row r="16" ht="12.75">
      <c r="F16" s="15"/>
    </row>
    <row r="17" spans="6:11" ht="12.75">
      <c r="F17" s="15"/>
      <c r="I17" s="16"/>
      <c r="K17" s="5"/>
    </row>
    <row r="18" spans="6:11" ht="12.75">
      <c r="F18" s="15"/>
      <c r="K18" s="45"/>
    </row>
    <row r="19" spans="6:11" ht="12.75">
      <c r="F19" s="15"/>
      <c r="K19" s="45"/>
    </row>
    <row r="20" spans="6:11" ht="12.75">
      <c r="F20" s="15"/>
      <c r="K20" s="45"/>
    </row>
    <row r="21" spans="6:11" ht="12.75">
      <c r="F21" s="15"/>
      <c r="K21" s="45"/>
    </row>
    <row r="22" spans="6:11" ht="12.75">
      <c r="F22" s="15"/>
      <c r="K22" s="45"/>
    </row>
    <row r="23" spans="6:11" ht="12.75">
      <c r="F23" s="15"/>
      <c r="J23" s="19"/>
      <c r="K23" s="45"/>
    </row>
    <row r="24" spans="6:11" ht="12.75">
      <c r="F24" s="15"/>
      <c r="K24" s="45"/>
    </row>
    <row r="26" ht="12.75">
      <c r="F26" s="15"/>
    </row>
    <row r="27" ht="12.75">
      <c r="F27" s="15"/>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Phillips</dc:creator>
  <cp:keywords/>
  <dc:description/>
  <cp:lastModifiedBy>Jryan</cp:lastModifiedBy>
  <cp:lastPrinted>2010-07-07T08:56:03Z</cp:lastPrinted>
  <dcterms:created xsi:type="dcterms:W3CDTF">2010-07-07T08:27:57Z</dcterms:created>
  <dcterms:modified xsi:type="dcterms:W3CDTF">2022-08-30T13:28:00Z</dcterms:modified>
  <cp:category/>
  <cp:version/>
  <cp:contentType/>
  <cp:contentStatus/>
</cp:coreProperties>
</file>